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lockStructure="1"/>
  <bookViews>
    <workbookView xWindow="0" yWindow="0" windowWidth="20490" windowHeight="904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19" i="1" l="1"/>
  <c r="B19" i="1"/>
  <c r="C29" i="1" l="1"/>
  <c r="B28" i="1"/>
  <c r="C28" i="1" s="1"/>
  <c r="C27" i="1"/>
  <c r="B25" i="1" l="1"/>
  <c r="D2" i="1"/>
  <c r="H27" i="1"/>
  <c r="H26" i="1"/>
  <c r="H25" i="1"/>
  <c r="B15" i="1"/>
  <c r="C26" i="1" s="1"/>
  <c r="H18" i="1"/>
  <c r="H15" i="1"/>
  <c r="H14" i="1"/>
  <c r="F5" i="1"/>
  <c r="G5" i="1"/>
  <c r="H5" i="1"/>
  <c r="C25" i="1"/>
  <c r="C14" i="1" l="1"/>
  <c r="C24" i="1"/>
  <c r="C23" i="1"/>
  <c r="C30" i="1" l="1"/>
  <c r="E4" i="1"/>
  <c r="C4" i="1"/>
  <c r="C5" i="1" s="1"/>
  <c r="A4" i="1"/>
  <c r="D23" i="1" l="1"/>
  <c r="E23" i="1" s="1"/>
  <c r="E5" i="1"/>
  <c r="D29" i="1" s="1"/>
  <c r="E29" i="1" s="1"/>
  <c r="B5" i="1"/>
  <c r="C8" i="1"/>
  <c r="B8" i="1"/>
  <c r="D5" i="1"/>
  <c r="D24" i="1" s="1"/>
  <c r="E24" i="1" s="1"/>
  <c r="A5" i="1"/>
  <c r="D28" i="1" s="1"/>
  <c r="E28" i="1" s="1"/>
  <c r="D27" i="1" l="1"/>
  <c r="E27" i="1" s="1"/>
  <c r="D26" i="1"/>
  <c r="E26" i="1" s="1"/>
  <c r="E30" i="1" l="1"/>
  <c r="C32" i="1" l="1"/>
  <c r="G32" i="1" s="1"/>
</calcChain>
</file>

<file path=xl/sharedStrings.xml><?xml version="1.0" encoding="utf-8"?>
<sst xmlns="http://schemas.openxmlformats.org/spreadsheetml/2006/main" count="53" uniqueCount="39">
  <si>
    <t>Среднемесячный доход</t>
  </si>
  <si>
    <t>Кол-во человек</t>
  </si>
  <si>
    <t>Прож. Минимум</t>
  </si>
  <si>
    <t>Обязательный платеж</t>
  </si>
  <si>
    <t>м³ Хол. Вода</t>
  </si>
  <si>
    <t>м³ Гор. Вода</t>
  </si>
  <si>
    <t>Электр. кВт•ч</t>
  </si>
  <si>
    <t xml:space="preserve"> м² Квартплата</t>
  </si>
  <si>
    <t>м³ ГАЗ</t>
  </si>
  <si>
    <t>Отапливаемая площадь м²</t>
  </si>
  <si>
    <t>Отопление (м³ ГАЗ)</t>
  </si>
  <si>
    <t>Отопление (Эл. кВт•ч)</t>
  </si>
  <si>
    <t>Гор. водоснабжение</t>
  </si>
  <si>
    <t>Водонагреватель</t>
  </si>
  <si>
    <t>+</t>
  </si>
  <si>
    <t>Тарифы</t>
  </si>
  <si>
    <t>Електроэнергия</t>
  </si>
  <si>
    <t>Холодная вода м³</t>
  </si>
  <si>
    <t>Горячая вода м³</t>
  </si>
  <si>
    <t>Канализация м³</t>
  </si>
  <si>
    <t>Отопление м²</t>
  </si>
  <si>
    <t>Газ м³</t>
  </si>
  <si>
    <t>Счетчик</t>
  </si>
  <si>
    <t>Калькулятор</t>
  </si>
  <si>
    <t>Итого:</t>
  </si>
  <si>
    <t>Квартплата м²</t>
  </si>
  <si>
    <t>Отопительный сезон</t>
  </si>
  <si>
    <t>Електроэнергия кВт</t>
  </si>
  <si>
    <t>Эл. плита</t>
  </si>
  <si>
    <t>Платеж</t>
  </si>
  <si>
    <t>&lt;&lt;</t>
  </si>
  <si>
    <t>&gt;&gt;</t>
  </si>
  <si>
    <t>Платите Вы:</t>
  </si>
  <si>
    <t>Установите знак (+) или оставьте пустым</t>
  </si>
  <si>
    <t>Платит Арсений Петрович:</t>
  </si>
  <si>
    <t>&gt;&gt;                  &lt;&lt;</t>
  </si>
  <si>
    <t>Полотенцесушитель</t>
  </si>
  <si>
    <t>Technogen ®</t>
  </si>
  <si>
    <t>www.kharkovforum.com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</si>
</sst>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64" formatCode="#,##0.0[$ м³]"/>
    <numFmt numFmtId="165" formatCode="#,##0[$ кВт•ч]"/>
    <numFmt numFmtId="166" formatCode="#,##0.00[$ м²]"/>
    <numFmt numFmtId="167" formatCode="#,##0.00[$ грн]"/>
    <numFmt numFmtId="168" formatCode="#,##0[$ чел.]"/>
    <numFmt numFmtId="169" formatCode="#,##0[$ м³]"/>
    <numFmt numFmtId="170" formatCode="[$ до]\ ##__\к\В\т"/>
    <numFmt numFmtId="171" formatCode="[$ Свыше]\ ##__\к\В\т"/>
    <numFmt numFmtId="172" formatCode="\&gt;_______________ #,##0.00[$ грн]"/>
    <numFmt numFmtId="173" formatCode="&quot;Свыше&quot;\ #,##0__&quot;м³/год&quot;"/>
    <numFmt numFmtId="174" formatCode="&quot;Свыше&quot;\ #,##0.00__&quot;м³/мес&quot;"/>
    <numFmt numFmtId="175" formatCode="&quot;Сверх лимит&quot;\ #,##0__&quot;кВт&quot;"/>
    <numFmt numFmtId="176" formatCode="&quot;Сверх лимит&quot;\ #,##0.0__&quot;м³&quot;"/>
    <numFmt numFmtId="177" formatCode="&quot;=  &quot;#,##0.00[$ грн]"/>
    <numFmt numFmtId="178" formatCode="&quot;Сверх лимит&quot;\ #,##0.00__&quot;м²&quot;"/>
    <numFmt numFmtId="179" formatCode="#,##0.0&quot; м³&quot;"/>
    <numFmt numFmtId="180" formatCode="#,##0.0&quot; м²&quot;"/>
    <numFmt numFmtId="181" formatCode="#,##0.00&quot; м²&quot;"/>
    <numFmt numFmtId="182" formatCode="&quot;до&quot;\ #,##0__&quot;м³/мес&quot;"/>
    <numFmt numFmtId="183" formatCode="&quot;Свыше&quot;\ #,##0__&quot;м³/мес&quot;"/>
  </numFmts>
  <fonts count="28" x14ac:knownFonts="1">
    <font>
      <sz val="11"/>
      <color theme="1"/>
      <name val="Calibri"/>
      <family val="2"/>
      <scheme val="minor"/>
    </font>
    <font>
      <sz val="11"/>
      <color theme="0" tint="-0.24994659260841701"/>
      <name val="Calibri"/>
      <family val="2"/>
      <scheme val="minor"/>
    </font>
    <font>
      <i/>
      <sz val="11"/>
      <color theme="0" tint="-0.2499465926084170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i/>
      <sz val="11"/>
      <color rgb="FF00B0F0"/>
      <name val="Calibri"/>
      <family val="2"/>
      <charset val="204"/>
      <scheme val="minor"/>
    </font>
    <font>
      <sz val="11"/>
      <color theme="0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theme="8" tint="0.59999389629810485"/>
      <name val="Calibri"/>
      <family val="2"/>
      <scheme val="minor"/>
    </font>
    <font>
      <sz val="11"/>
      <color rgb="FF00B0F0"/>
      <name val="Calibri"/>
      <family val="2"/>
      <charset val="204"/>
      <scheme val="minor"/>
    </font>
    <font>
      <sz val="11"/>
      <color rgb="FFFF3300"/>
      <name val="Calibri"/>
      <family val="2"/>
      <scheme val="minor"/>
    </font>
    <font>
      <sz val="11"/>
      <color rgb="FFFF33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i/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1"/>
      <color theme="0" tint="-0.34998626667073579"/>
      <name val="Calibri"/>
      <family val="2"/>
      <charset val="204"/>
      <scheme val="minor"/>
    </font>
    <font>
      <i/>
      <sz val="18"/>
      <color theme="5" tint="-0.249977111117893"/>
      <name val="Calibri"/>
      <family val="2"/>
      <charset val="204"/>
      <scheme val="minor"/>
    </font>
    <font>
      <i/>
      <sz val="18"/>
      <color rgb="FF00B05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1"/>
      <color theme="1"/>
      <name val="Magneto"/>
      <family val="5"/>
    </font>
    <font>
      <u/>
      <sz val="11"/>
      <color theme="10"/>
      <name val="Calibri"/>
      <family val="2"/>
      <scheme val="minor"/>
    </font>
    <font>
      <u/>
      <sz val="11"/>
      <color theme="10"/>
      <name val="Aharoni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70">
    <xf numFmtId="0" fontId="0" fillId="0" borderId="0" xfId="0"/>
    <xf numFmtId="0" fontId="0" fillId="2" borderId="0" xfId="0" applyFill="1"/>
    <xf numFmtId="0" fontId="0" fillId="3" borderId="0" xfId="0" applyFill="1"/>
    <xf numFmtId="167" fontId="5" fillId="0" borderId="0" xfId="0" applyNumberFormat="1" applyFont="1"/>
    <xf numFmtId="164" fontId="4" fillId="0" borderId="0" xfId="0" applyNumberFormat="1" applyFont="1" applyProtection="1">
      <protection hidden="1"/>
    </xf>
    <xf numFmtId="165" fontId="4" fillId="0" borderId="0" xfId="0" applyNumberFormat="1" applyFont="1" applyProtection="1">
      <protection hidden="1"/>
    </xf>
    <xf numFmtId="166" fontId="4" fillId="0" borderId="0" xfId="0" applyNumberFormat="1" applyFont="1" applyProtection="1">
      <protection hidden="1"/>
    </xf>
    <xf numFmtId="167" fontId="6" fillId="0" borderId="0" xfId="0" applyNumberFormat="1" applyFont="1" applyProtection="1">
      <protection hidden="1"/>
    </xf>
    <xf numFmtId="0" fontId="0" fillId="3" borderId="0" xfId="0" applyFill="1" applyAlignment="1">
      <alignment horizontal="center"/>
    </xf>
    <xf numFmtId="0" fontId="0" fillId="0" borderId="0" xfId="0" applyFill="1"/>
    <xf numFmtId="174" fontId="4" fillId="0" borderId="0" xfId="0" applyNumberFormat="1" applyFont="1"/>
    <xf numFmtId="4" fontId="0" fillId="0" borderId="0" xfId="0" applyNumberFormat="1"/>
    <xf numFmtId="0" fontId="9" fillId="2" borderId="0" xfId="0" applyFont="1" applyFill="1"/>
    <xf numFmtId="0" fontId="0" fillId="8" borderId="0" xfId="0" applyFill="1"/>
    <xf numFmtId="0" fontId="10" fillId="8" borderId="0" xfId="0" applyFont="1" applyFill="1"/>
    <xf numFmtId="0" fontId="0" fillId="0" borderId="0" xfId="0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9" fillId="3" borderId="0" xfId="0" applyFont="1" applyFill="1" applyAlignment="1"/>
    <xf numFmtId="0" fontId="17" fillId="3" borderId="0" xfId="0" applyFont="1" applyFill="1" applyAlignment="1"/>
    <xf numFmtId="0" fontId="0" fillId="9" borderId="0" xfId="0" applyFill="1"/>
    <xf numFmtId="167" fontId="18" fillId="9" borderId="0" xfId="0" applyNumberFormat="1" applyFont="1" applyFill="1"/>
    <xf numFmtId="0" fontId="19" fillId="9" borderId="0" xfId="0" applyFont="1" applyFill="1" applyAlignment="1">
      <alignment horizontal="right"/>
    </xf>
    <xf numFmtId="0" fontId="20" fillId="9" borderId="0" xfId="0" applyFont="1" applyFill="1"/>
    <xf numFmtId="0" fontId="20" fillId="9" borderId="0" xfId="0" applyFont="1" applyFill="1" applyAlignment="1">
      <alignment horizontal="left"/>
    </xf>
    <xf numFmtId="0" fontId="0" fillId="10" borderId="0" xfId="0" applyFill="1"/>
    <xf numFmtId="165" fontId="1" fillId="0" borderId="0" xfId="0" applyNumberFormat="1" applyFont="1" applyProtection="1">
      <protection hidden="1"/>
    </xf>
    <xf numFmtId="173" fontId="8" fillId="0" borderId="0" xfId="0" applyNumberFormat="1" applyFont="1" applyFill="1" applyAlignment="1">
      <alignment horizontal="center"/>
    </xf>
    <xf numFmtId="0" fontId="25" fillId="0" borderId="0" xfId="0" applyFont="1"/>
    <xf numFmtId="0" fontId="4" fillId="2" borderId="0" xfId="0" applyFont="1" applyFill="1" applyAlignment="1" applyProtection="1">
      <alignment horizontal="center"/>
      <protection hidden="1"/>
    </xf>
    <xf numFmtId="169" fontId="7" fillId="0" borderId="0" xfId="0" applyNumberFormat="1" applyFont="1" applyProtection="1">
      <protection hidden="1"/>
    </xf>
    <xf numFmtId="169" fontId="4" fillId="0" borderId="0" xfId="0" applyNumberFormat="1" applyFont="1" applyProtection="1">
      <protection hidden="1"/>
    </xf>
    <xf numFmtId="164" fontId="1" fillId="0" borderId="0" xfId="0" applyNumberFormat="1" applyFont="1" applyProtection="1">
      <protection hidden="1"/>
    </xf>
    <xf numFmtId="167" fontId="5" fillId="0" borderId="0" xfId="0" applyNumberFormat="1" applyFont="1" applyProtection="1">
      <protection hidden="1"/>
    </xf>
    <xf numFmtId="172" fontId="6" fillId="0" borderId="0" xfId="0" applyNumberFormat="1" applyFont="1" applyProtection="1">
      <protection hidden="1"/>
    </xf>
    <xf numFmtId="0" fontId="11" fillId="2" borderId="0" xfId="0" applyFont="1" applyFill="1" applyAlignment="1" applyProtection="1">
      <alignment horizontal="center"/>
      <protection hidden="1"/>
    </xf>
    <xf numFmtId="167" fontId="24" fillId="0" borderId="0" xfId="0" applyNumberFormat="1" applyFont="1" applyProtection="1">
      <protection hidden="1"/>
    </xf>
    <xf numFmtId="180" fontId="16" fillId="0" borderId="0" xfId="0" applyNumberFormat="1" applyFont="1" applyProtection="1">
      <protection hidden="1"/>
    </xf>
    <xf numFmtId="179" fontId="16" fillId="0" borderId="0" xfId="0" applyNumberFormat="1" applyFont="1" applyProtection="1">
      <protection hidden="1"/>
    </xf>
    <xf numFmtId="167" fontId="21" fillId="0" borderId="0" xfId="0" applyNumberFormat="1" applyFont="1" applyProtection="1">
      <protection hidden="1"/>
    </xf>
    <xf numFmtId="175" fontId="12" fillId="0" borderId="0" xfId="0" applyNumberFormat="1" applyFont="1" applyProtection="1">
      <protection hidden="1"/>
    </xf>
    <xf numFmtId="178" fontId="3" fillId="0" borderId="0" xfId="0" applyNumberFormat="1" applyFont="1" applyProtection="1">
      <protection hidden="1"/>
    </xf>
    <xf numFmtId="176" fontId="12" fillId="0" borderId="0" xfId="0" applyNumberFormat="1" applyFont="1" applyProtection="1">
      <protection hidden="1"/>
    </xf>
    <xf numFmtId="176" fontId="3" fillId="0" borderId="0" xfId="0" applyNumberFormat="1" applyFont="1" applyProtection="1">
      <protection hidden="1"/>
    </xf>
    <xf numFmtId="177" fontId="15" fillId="0" borderId="0" xfId="0" applyNumberFormat="1" applyFont="1" applyProtection="1">
      <protection hidden="1"/>
    </xf>
    <xf numFmtId="177" fontId="6" fillId="0" borderId="0" xfId="0" applyNumberFormat="1" applyFont="1" applyProtection="1">
      <protection hidden="1"/>
    </xf>
    <xf numFmtId="167" fontId="22" fillId="9" borderId="0" xfId="0" applyNumberFormat="1" applyFont="1" applyFill="1" applyProtection="1">
      <protection hidden="1"/>
    </xf>
    <xf numFmtId="167" fontId="23" fillId="9" borderId="0" xfId="0" applyNumberFormat="1" applyFont="1" applyFill="1" applyProtection="1">
      <protection hidden="1"/>
    </xf>
    <xf numFmtId="167" fontId="5" fillId="0" borderId="0" xfId="0" applyNumberFormat="1" applyFont="1" applyProtection="1">
      <protection locked="0"/>
    </xf>
    <xf numFmtId="168" fontId="0" fillId="0" borderId="0" xfId="0" applyNumberFormat="1" applyProtection="1">
      <protection locked="0"/>
    </xf>
    <xf numFmtId="167" fontId="2" fillId="0" borderId="0" xfId="0" applyNumberFormat="1" applyFont="1" applyProtection="1">
      <protection locked="0"/>
    </xf>
    <xf numFmtId="164" fontId="1" fillId="0" borderId="0" xfId="0" applyNumberFormat="1" applyFont="1" applyProtection="1">
      <protection locked="0"/>
    </xf>
    <xf numFmtId="166" fontId="1" fillId="0" borderId="0" xfId="0" applyNumberFormat="1" applyFont="1" applyProtection="1">
      <protection locked="0"/>
    </xf>
    <xf numFmtId="165" fontId="3" fillId="2" borderId="0" xfId="0" applyNumberFormat="1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181" fontId="0" fillId="0" borderId="0" xfId="0" applyNumberFormat="1" applyProtection="1">
      <protection locked="0"/>
    </xf>
    <xf numFmtId="169" fontId="7" fillId="0" borderId="0" xfId="0" applyNumberFormat="1" applyFont="1" applyProtection="1">
      <protection locked="0"/>
    </xf>
    <xf numFmtId="165" fontId="7" fillId="0" borderId="0" xfId="0" applyNumberFormat="1" applyFont="1" applyProtection="1">
      <protection locked="0"/>
    </xf>
    <xf numFmtId="170" fontId="0" fillId="4" borderId="0" xfId="0" applyNumberFormat="1" applyFill="1" applyAlignment="1" applyProtection="1">
      <alignment horizontal="center"/>
      <protection locked="0"/>
    </xf>
    <xf numFmtId="170" fontId="0" fillId="5" borderId="0" xfId="0" applyNumberFormat="1" applyFill="1" applyAlignment="1" applyProtection="1">
      <alignment horizontal="center"/>
      <protection locked="0"/>
    </xf>
    <xf numFmtId="171" fontId="8" fillId="7" borderId="0" xfId="0" applyNumberFormat="1" applyFont="1" applyFill="1" applyAlignment="1" applyProtection="1">
      <alignment horizont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183" fontId="8" fillId="6" borderId="0" xfId="0" applyNumberFormat="1" applyFont="1" applyFill="1" applyAlignment="1" applyProtection="1">
      <alignment horizontal="center"/>
      <protection locked="0"/>
    </xf>
    <xf numFmtId="182" fontId="0" fillId="4" borderId="0" xfId="0" applyNumberFormat="1" applyFill="1" applyAlignment="1" applyProtection="1">
      <alignment horizontal="center"/>
      <protection locked="0"/>
    </xf>
    <xf numFmtId="0" fontId="13" fillId="2" borderId="0" xfId="0" applyFont="1" applyFill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179" fontId="0" fillId="0" borderId="0" xfId="0" applyNumberFormat="1" applyProtection="1">
      <protection locked="0"/>
    </xf>
    <xf numFmtId="0" fontId="27" fillId="11" borderId="0" xfId="1" applyFont="1" applyFill="1" applyProtection="1">
      <protection locked="0"/>
    </xf>
    <xf numFmtId="0" fontId="26" fillId="11" borderId="0" xfId="1" applyFill="1" applyProtection="1"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kharkovforum.com/" TargetMode="External"/><Relationship Id="rId1" Type="http://schemas.openxmlformats.org/officeDocument/2006/relationships/hyperlink" Target="http://www.kharkovforum.com/member.php?u=2698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2" workbookViewId="0">
      <selection activeCell="A7" sqref="A7"/>
    </sheetView>
  </sheetViews>
  <sheetFormatPr defaultRowHeight="15" x14ac:dyDescent="0.25"/>
  <cols>
    <col min="1" max="1" width="25" customWidth="1"/>
    <col min="2" max="2" width="19.28515625" customWidth="1"/>
    <col min="3" max="3" width="20.7109375" customWidth="1"/>
    <col min="4" max="4" width="21.5703125" customWidth="1"/>
    <col min="5" max="5" width="18.28515625" customWidth="1"/>
    <col min="6" max="6" width="20.7109375" customWidth="1"/>
    <col min="7" max="7" width="24.42578125" customWidth="1"/>
    <col min="8" max="8" width="22.42578125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F1" s="68" t="s">
        <v>37</v>
      </c>
      <c r="G1" s="69" t="s">
        <v>38</v>
      </c>
    </row>
    <row r="2" spans="1:9" ht="15.75" x14ac:dyDescent="0.3">
      <c r="A2" s="48">
        <v>4000</v>
      </c>
      <c r="B2" s="49">
        <v>3</v>
      </c>
      <c r="C2" s="50">
        <v>1176</v>
      </c>
      <c r="D2" s="7">
        <f>SUM(A2/B2/C2/2*15%*A2)</f>
        <v>340.13605442176868</v>
      </c>
      <c r="F2" s="1"/>
      <c r="G2" s="12" t="s">
        <v>33</v>
      </c>
      <c r="H2" s="1"/>
      <c r="I2" s="28"/>
    </row>
    <row r="3" spans="1:9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8" t="s">
        <v>12</v>
      </c>
      <c r="G3" s="8" t="s">
        <v>28</v>
      </c>
      <c r="H3" s="8" t="s">
        <v>13</v>
      </c>
    </row>
    <row r="4" spans="1:9" x14ac:dyDescent="0.25">
      <c r="A4" s="32">
        <f>IF(F4="+",2.4,4)</f>
        <v>2.4</v>
      </c>
      <c r="B4" s="51">
        <v>1.6</v>
      </c>
      <c r="C4" s="26">
        <f>CHOOSE(IF(AND(G4="",F4=""),1,IF(AND(G4="+",F4="+"),3,IF(AND(G4="+",F4=""),2,4))),120,150,130,90)</f>
        <v>130</v>
      </c>
      <c r="D4" s="52">
        <v>35.22</v>
      </c>
      <c r="E4" s="30">
        <f>CHOOSE(IF(H4="+",1,IF(AND(H4="",F4=""),3,2)),18,6,9)</f>
        <v>6</v>
      </c>
      <c r="F4" s="53" t="s">
        <v>14</v>
      </c>
      <c r="G4" s="54" t="s">
        <v>14</v>
      </c>
      <c r="H4" s="54"/>
    </row>
    <row r="5" spans="1:9" x14ac:dyDescent="0.25">
      <c r="A5" s="4">
        <f>SUM(A4*B2)</f>
        <v>7.1999999999999993</v>
      </c>
      <c r="B5" s="4">
        <f>SUM(B4*B2)</f>
        <v>4.8000000000000007</v>
      </c>
      <c r="C5" s="5">
        <f>IF(B2&gt;1,30*(B2-1)+C4,C4)</f>
        <v>190</v>
      </c>
      <c r="D5" s="6">
        <f>SUM(D4+(13.65*B2))</f>
        <v>76.17</v>
      </c>
      <c r="E5" s="31">
        <f>SUM(E4*B2)</f>
        <v>18</v>
      </c>
      <c r="F5" s="29" t="str">
        <f>IF(F4="+","Есть","Нет")</f>
        <v>Есть</v>
      </c>
      <c r="G5" s="29" t="str">
        <f>IF(G4="+","Есть","Нет")</f>
        <v>Есть</v>
      </c>
      <c r="H5" s="29" t="str">
        <f>IF(H4="+","Есть","Нет")</f>
        <v>Нет</v>
      </c>
    </row>
    <row r="6" spans="1:9" x14ac:dyDescent="0.25">
      <c r="A6" s="2" t="s">
        <v>9</v>
      </c>
      <c r="B6" s="2" t="s">
        <v>10</v>
      </c>
      <c r="C6" s="2" t="s">
        <v>11</v>
      </c>
      <c r="G6" s="9"/>
    </row>
    <row r="7" spans="1:9" x14ac:dyDescent="0.25">
      <c r="A7" s="55">
        <v>50</v>
      </c>
      <c r="B7" s="56">
        <v>7</v>
      </c>
      <c r="C7" s="57">
        <v>65</v>
      </c>
      <c r="F7" s="9"/>
      <c r="G7" s="9"/>
    </row>
    <row r="8" spans="1:9" x14ac:dyDescent="0.25">
      <c r="B8" s="31">
        <f>SUM(B7*A7)</f>
        <v>350</v>
      </c>
      <c r="C8" s="5">
        <f>SUM(C7*A7)</f>
        <v>3250</v>
      </c>
      <c r="F8" s="9"/>
      <c r="G8" s="9"/>
    </row>
    <row r="9" spans="1:9" x14ac:dyDescent="0.25">
      <c r="F9" s="9"/>
      <c r="G9" s="9"/>
    </row>
    <row r="10" spans="1:9" x14ac:dyDescent="0.25">
      <c r="A10" s="13"/>
      <c r="B10" s="13"/>
      <c r="C10" s="13"/>
      <c r="D10" s="14" t="s">
        <v>15</v>
      </c>
      <c r="E10" s="13"/>
      <c r="F10" s="13"/>
      <c r="G10" s="13"/>
      <c r="H10" s="13"/>
    </row>
    <row r="11" spans="1:9" x14ac:dyDescent="0.25">
      <c r="A11" s="2" t="s">
        <v>16</v>
      </c>
      <c r="B11" s="58">
        <v>100</v>
      </c>
      <c r="C11" s="59">
        <v>600</v>
      </c>
      <c r="D11" s="60">
        <v>600</v>
      </c>
    </row>
    <row r="12" spans="1:9" x14ac:dyDescent="0.25">
      <c r="B12" s="48">
        <v>0.36599999999999999</v>
      </c>
      <c r="C12" s="48">
        <v>0.63</v>
      </c>
      <c r="D12" s="48">
        <v>1.407</v>
      </c>
    </row>
    <row r="13" spans="1:9" x14ac:dyDescent="0.25">
      <c r="A13" s="2" t="s">
        <v>25</v>
      </c>
      <c r="B13" s="48">
        <v>2.347</v>
      </c>
      <c r="F13" s="9"/>
      <c r="H13" s="9"/>
    </row>
    <row r="14" spans="1:9" x14ac:dyDescent="0.25">
      <c r="A14" s="2" t="s">
        <v>20</v>
      </c>
      <c r="B14" s="48">
        <v>16.420000000000002</v>
      </c>
      <c r="C14" s="34">
        <f>B14*A7</f>
        <v>821.00000000000011</v>
      </c>
      <c r="D14" s="9"/>
      <c r="E14" s="16"/>
      <c r="F14" s="18" t="s">
        <v>22</v>
      </c>
      <c r="G14" s="54"/>
      <c r="H14" s="29" t="str">
        <f>IF(G14="+","Есть","Нет")</f>
        <v>Нет</v>
      </c>
    </row>
    <row r="15" spans="1:9" x14ac:dyDescent="0.25">
      <c r="A15" s="2" t="s">
        <v>18</v>
      </c>
      <c r="B15" s="33">
        <f>IF(G15="+",40.92,38.02)</f>
        <v>40.92</v>
      </c>
      <c r="C15" s="9"/>
      <c r="D15" s="16"/>
      <c r="E15" s="17"/>
      <c r="F15" s="2" t="s">
        <v>36</v>
      </c>
      <c r="G15" s="61" t="s">
        <v>14</v>
      </c>
      <c r="H15" s="35" t="str">
        <f>IF(G15="+","Есть","Нет")</f>
        <v>Есть</v>
      </c>
    </row>
    <row r="16" spans="1:9" x14ac:dyDescent="0.25">
      <c r="A16" s="2" t="s">
        <v>17</v>
      </c>
      <c r="B16" s="48">
        <v>5.6760000000000002</v>
      </c>
    </row>
    <row r="17" spans="1:8" x14ac:dyDescent="0.25">
      <c r="A17" s="2" t="s">
        <v>19</v>
      </c>
      <c r="B17" s="48">
        <v>3.2160000000000002</v>
      </c>
    </row>
    <row r="18" spans="1:8" x14ac:dyDescent="0.25">
      <c r="A18" s="2" t="s">
        <v>21</v>
      </c>
      <c r="B18" s="63">
        <v>200</v>
      </c>
      <c r="C18" s="62">
        <v>200</v>
      </c>
      <c r="D18" s="27"/>
      <c r="E18" s="9"/>
      <c r="F18" s="19" t="s">
        <v>22</v>
      </c>
      <c r="G18" s="54" t="s">
        <v>14</v>
      </c>
      <c r="H18" s="35" t="str">
        <f>IF(G18="+","Есть","Нет")</f>
        <v>Есть</v>
      </c>
    </row>
    <row r="19" spans="1:8" x14ac:dyDescent="0.25">
      <c r="B19" s="36">
        <f>IF(G18="+",3.6,)</f>
        <v>3.6</v>
      </c>
      <c r="C19" s="36">
        <f>IF(G18="+",7.188,)</f>
        <v>7.1879999999999997</v>
      </c>
      <c r="D19" s="10"/>
    </row>
    <row r="20" spans="1:8" x14ac:dyDescent="0.25">
      <c r="B20" s="3"/>
      <c r="C20" s="3"/>
      <c r="D20" s="3"/>
    </row>
    <row r="21" spans="1:8" x14ac:dyDescent="0.25">
      <c r="B21" s="11"/>
    </row>
    <row r="22" spans="1:8" x14ac:dyDescent="0.25">
      <c r="A22" s="13"/>
      <c r="B22" s="13"/>
      <c r="C22" s="13"/>
      <c r="D22" s="14" t="s">
        <v>23</v>
      </c>
      <c r="E22" s="13"/>
      <c r="F22" s="13"/>
      <c r="G22" s="13"/>
      <c r="H22" s="13"/>
    </row>
    <row r="23" spans="1:8" x14ac:dyDescent="0.25">
      <c r="A23" s="2" t="s">
        <v>27</v>
      </c>
      <c r="B23" s="65">
        <v>250</v>
      </c>
      <c r="C23" s="39">
        <f>IF(B23="","",SUM(IF(B23&lt;=B11,B23*B12,IF(AND(B23&gt;B11,B23&lt;=C11),(B23-B11)*C12+(B11*B12),IF(B23&gt;D11,(B23-D11)*D12+(B11*B12)+((D11-B11)*C12))))))</f>
        <v>131.1</v>
      </c>
      <c r="D23" s="40">
        <f>IF(B23&gt;C5,B23-C5,"")</f>
        <v>60</v>
      </c>
      <c r="E23" s="45">
        <f>IF(NOT(B23&gt;D11),IF(B23&lt;=C5,"",IF(C5&lt;B11,(B12*(B11-C5))+(C12*(D23-(B11-C5))),C12*D23)),IF(C5&lt;B11,C12*((D23-(B11-C5))-(B23-C11))+(B12*(B11-C5))+(D12*(B23-C11)),(B23-D11)*D12+(D11-C5)*C12))</f>
        <v>37.799999999999997</v>
      </c>
    </row>
    <row r="24" spans="1:8" x14ac:dyDescent="0.25">
      <c r="A24" s="2" t="s">
        <v>25</v>
      </c>
      <c r="B24" s="66">
        <v>60</v>
      </c>
      <c r="C24" s="39">
        <f>B13*B24</f>
        <v>140.82</v>
      </c>
      <c r="D24" s="41" t="str">
        <f>IF(B24&gt;D5,B24-D5,"")</f>
        <v/>
      </c>
      <c r="E24" s="45" t="str">
        <f>IF(D24="","",B13*D24)</f>
        <v/>
      </c>
    </row>
    <row r="25" spans="1:8" x14ac:dyDescent="0.25">
      <c r="A25" s="2" t="s">
        <v>20</v>
      </c>
      <c r="B25" s="37">
        <f>A7</f>
        <v>50</v>
      </c>
      <c r="C25" s="39" t="str">
        <f>IF(ISBLANK(G25),"",B14*B25)</f>
        <v/>
      </c>
      <c r="F25" s="2" t="s">
        <v>26</v>
      </c>
      <c r="G25" s="64"/>
      <c r="H25" s="29" t="str">
        <f>IF(G25="+","Есть","Нет")</f>
        <v>Нет</v>
      </c>
    </row>
    <row r="26" spans="1:8" x14ac:dyDescent="0.25">
      <c r="A26" s="2" t="s">
        <v>18</v>
      </c>
      <c r="B26" s="67">
        <v>1.6</v>
      </c>
      <c r="C26" s="39">
        <f>IF(G26="+",B15*B26,B15*(8.1*B2))</f>
        <v>65.472000000000008</v>
      </c>
      <c r="D26" s="42" t="str">
        <f>IF(AND(B26&gt;B5,G26="+"),B26-B5,"")</f>
        <v/>
      </c>
      <c r="E26" s="45" t="str">
        <f>IF(D26="","",B15*D26)</f>
        <v/>
      </c>
      <c r="F26" s="2" t="s">
        <v>22</v>
      </c>
      <c r="G26" s="54" t="s">
        <v>14</v>
      </c>
      <c r="H26" s="35" t="str">
        <f>IF(G26="+","Есть","Нет")</f>
        <v>Есть</v>
      </c>
    </row>
    <row r="27" spans="1:8" x14ac:dyDescent="0.25">
      <c r="A27" s="2" t="s">
        <v>17</v>
      </c>
      <c r="B27" s="67">
        <v>2.4</v>
      </c>
      <c r="C27" s="39">
        <f>IF(G27="+",B16*B27,B16*(11.1*B2))</f>
        <v>13.622400000000001</v>
      </c>
      <c r="D27" s="43" t="str">
        <f>IF(AND(B27&gt;A5,G27="+"),B27-A5,"")</f>
        <v/>
      </c>
      <c r="E27" s="45" t="str">
        <f>IF(D27="","",B16*D27)</f>
        <v/>
      </c>
      <c r="F27" s="2" t="s">
        <v>22</v>
      </c>
      <c r="G27" s="54" t="s">
        <v>14</v>
      </c>
      <c r="H27" s="29" t="str">
        <f>IF(G27="+","Есть","Нет")</f>
        <v>Есть</v>
      </c>
    </row>
    <row r="28" spans="1:8" x14ac:dyDescent="0.25">
      <c r="A28" s="2" t="s">
        <v>19</v>
      </c>
      <c r="B28" s="38">
        <f>IF(AND(G26="+",G27="+"),B26+B27,IF(AND(G26="",G27=""),(8.1+11.1)*B2,IF(G26="+",11.1*B2+B26,8.1*B2+B27)))</f>
        <v>4</v>
      </c>
      <c r="C28" s="39">
        <f>IF(AND(G26="+",G27="+"),B17*B28,IF(AND(G26="+",G27=""),B17*B26+(B17*(B2*11.1)),IF(AND(G26="",G27="+"),B17*B27+(B17*(B2*8.1)),B17*((8.1+11.1)*B2))))</f>
        <v>12.864000000000001</v>
      </c>
      <c r="D28" s="42" t="str">
        <f>IF(AND(B28&gt;(A5+B5),G26="+",G27="+"),B28-(A5+B5),IF(AND(G26="+",G27=""),IF(B26&gt;B5,B26-B5,""),IF(AND(B27&gt;A5,G27="",G28="+"),B27-A5,"")))</f>
        <v/>
      </c>
      <c r="E28" s="45" t="str">
        <f>IF(D28="","",B17*D28)</f>
        <v/>
      </c>
    </row>
    <row r="29" spans="1:8" x14ac:dyDescent="0.25">
      <c r="A29" s="2" t="s">
        <v>21</v>
      </c>
      <c r="B29" s="67">
        <v>0</v>
      </c>
      <c r="C29" s="39">
        <f>IF(AND(NOT(ISBLANK(B29)),B29&lt;=B18),B19*B29,IF(ISBLANK(B29),"",(B29-B18)*C19+(B19*B18)))</f>
        <v>0</v>
      </c>
      <c r="D29" s="43" t="str">
        <f>IF(B29&gt;E5,B29-E5,"")</f>
        <v/>
      </c>
      <c r="E29" s="45" t="str">
        <f>IF(D29="","",IF(B29&lt;=B18,B19*D29,IF(D29="","",IF(B29&lt;=B18,B19*D29,(B19*(D29-(B29-B18)))+(C19*(B29-B18))))))</f>
        <v/>
      </c>
    </row>
    <row r="30" spans="1:8" x14ac:dyDescent="0.25">
      <c r="B30" s="15" t="s">
        <v>24</v>
      </c>
      <c r="C30" s="33">
        <f>SUM(C23:C29)</f>
        <v>363.87839999999994</v>
      </c>
      <c r="E30" s="44">
        <f>IF(AND(E23="",E24="",ISBLANK(E25),E26="",E27="",E28="",E29=""),"",SUM(E23:E29))</f>
        <v>37.799999999999997</v>
      </c>
    </row>
    <row r="31" spans="1:8" x14ac:dyDescent="0.25">
      <c r="A31" s="13"/>
      <c r="B31" s="13"/>
      <c r="C31" s="13"/>
      <c r="D31" s="14" t="s">
        <v>29</v>
      </c>
      <c r="E31" s="13"/>
      <c r="F31" s="13"/>
      <c r="G31" s="13"/>
      <c r="H31" s="13"/>
    </row>
    <row r="32" spans="1:8" ht="26.25" x14ac:dyDescent="0.4">
      <c r="A32" s="22" t="s">
        <v>30</v>
      </c>
      <c r="B32" s="23" t="s">
        <v>32</v>
      </c>
      <c r="C32" s="47">
        <f>IF(AND(D2&lt;C30,NOT(E30="")),IF((D2+E30)&gt;C30,C30,D2+E30),IF(NOT(E30=""),C30,IF(AND(D2&lt;C30,E30=""),D2,C30)))</f>
        <v>363.87839999999994</v>
      </c>
      <c r="D32" s="21" t="s">
        <v>35</v>
      </c>
      <c r="E32" s="24" t="s">
        <v>34</v>
      </c>
      <c r="F32" s="20"/>
      <c r="G32" s="46">
        <f>IF(C32&gt;C30,,C30-C32)</f>
        <v>0</v>
      </c>
      <c r="H32" s="23" t="s">
        <v>31</v>
      </c>
    </row>
    <row r="33" spans="1:8" x14ac:dyDescent="0.25">
      <c r="A33" s="25"/>
      <c r="B33" s="25"/>
      <c r="C33" s="25"/>
      <c r="D33" s="25"/>
      <c r="E33" s="25"/>
      <c r="F33" s="25"/>
      <c r="G33" s="25"/>
      <c r="H33" s="25"/>
    </row>
  </sheetData>
  <sheetProtection algorithmName="SHA-512" hashValue="O98DuHLn15/sLsc9qLq5Mi8m12AiKO2gUdFP3f6wns2ZeOLluOr8Fnvx63+SZVQrhS2i2scpnXGrGBaLE5U3/Q==" saltValue="J39nNP0sUXY8i0uRNm5Ccg==" spinCount="100000" sheet="1" objects="1" scenarios="1" selectLockedCells="1"/>
  <hyperlinks>
    <hyperlink ref="F1" r:id="rId1" display="Technogen"/>
    <hyperlink ref="G1" r:id="rId2"/>
  </hyperlinks>
  <pageMargins left="0.7" right="0.7" top="0.75" bottom="0.75" header="0.3" footer="0.3"/>
  <pageSetup paperSize="0" orientation="portrait" horizontalDpi="0" verticalDpi="0" copies="0"/>
  <ignoredErrors>
    <ignoredError sqref="C2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Base>www.kharkovforum.com/showthread.php?t=4198434&amp;page=33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Калькулятор субсидии</dc:title>
  <dc:subject>Субсидия</dc:subject>
  <dc:creator/>
  <dc:description>бета версия</dc:description>
  <cp:lastModifiedBy/>
  <dcterms:created xsi:type="dcterms:W3CDTF">2006-09-16T00:00:00Z</dcterms:created>
  <dcterms:modified xsi:type="dcterms:W3CDTF">2015-04-19T19:15:19Z</dcterms:modified>
  <cp:category>коммунальные платежи</cp:category>
</cp:coreProperties>
</file>